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Культура 2019" sheetId="15" r:id="rId1"/>
    <sheet name="Лист3 (2)" sheetId="16" r:id="rId2"/>
    <sheet name="Лист3" sheetId="14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8" i="15" l="1"/>
  <c r="E17" i="15" s="1"/>
  <c r="E21" i="15"/>
  <c r="E27" i="15"/>
  <c r="F35" i="15"/>
  <c r="F36" i="15"/>
  <c r="F37" i="15"/>
  <c r="E13" i="15" l="1"/>
  <c r="E12" i="15" s="1"/>
  <c r="E10" i="15" s="1"/>
  <c r="E71" i="15" l="1"/>
  <c r="I70" i="15"/>
  <c r="I61" i="15" s="1"/>
  <c r="E70" i="15"/>
  <c r="I69" i="15"/>
  <c r="E69" i="15"/>
  <c r="I67" i="15"/>
  <c r="E67" i="15"/>
  <c r="E66" i="15"/>
  <c r="E65" i="15"/>
  <c r="I64" i="15"/>
  <c r="I63" i="15" s="1"/>
  <c r="E61" i="15"/>
  <c r="I59" i="15"/>
  <c r="E59" i="15"/>
  <c r="E58" i="15"/>
  <c r="E57" i="15"/>
  <c r="E56" i="15"/>
  <c r="E55" i="15"/>
  <c r="I48" i="15"/>
  <c r="I41" i="15" s="1"/>
  <c r="E48" i="15"/>
  <c r="E44" i="15"/>
  <c r="E43" i="15"/>
  <c r="E42" i="15"/>
  <c r="E41" i="15"/>
  <c r="E37" i="15" s="1"/>
  <c r="G36" i="15"/>
  <c r="A35" i="15"/>
  <c r="I73" i="15" l="1"/>
  <c r="E46" i="15"/>
  <c r="I52" i="15"/>
  <c r="I51" i="15" s="1"/>
  <c r="I38" i="15" s="1"/>
  <c r="E16" i="15"/>
  <c r="E64" i="15"/>
  <c r="E63" i="15" s="1"/>
  <c r="E52" i="15"/>
  <c r="E51" i="15" s="1"/>
  <c r="E26" i="15"/>
  <c r="E25" i="15" s="1"/>
  <c r="E20" i="15"/>
  <c r="I37" i="15"/>
  <c r="E47" i="15"/>
  <c r="E73" i="15" l="1"/>
  <c r="I50" i="15"/>
  <c r="I39" i="15" s="1"/>
  <c r="E50" i="15"/>
  <c r="E36" i="15" s="1"/>
  <c r="E11" i="15"/>
  <c r="I36" i="15" l="1"/>
  <c r="E39" i="15"/>
  <c r="E9" i="15"/>
  <c r="E6" i="15" l="1"/>
  <c r="E5" i="15" s="1"/>
  <c r="D11" i="15" l="1"/>
  <c r="D25" i="15"/>
  <c r="D20" i="15"/>
  <c r="D16" i="15"/>
  <c r="D9" i="15"/>
  <c r="D5" i="15" l="1"/>
</calcChain>
</file>

<file path=xl/sharedStrings.xml><?xml version="1.0" encoding="utf-8"?>
<sst xmlns="http://schemas.openxmlformats.org/spreadsheetml/2006/main" count="77" uniqueCount="73">
  <si>
    <t>1.</t>
  </si>
  <si>
    <t>Нормативные затраты на оплату труда с начислениями</t>
  </si>
  <si>
    <t>2.</t>
  </si>
  <si>
    <t>Нормативные затраты на приобретение оборудования и расходных материалов</t>
  </si>
  <si>
    <t>3.</t>
  </si>
  <si>
    <t xml:space="preserve">Общехозяйственные нормативные затраты </t>
  </si>
  <si>
    <t>детей</t>
  </si>
  <si>
    <t>Журавлик</t>
  </si>
  <si>
    <t>Новый</t>
  </si>
  <si>
    <t>Базовая стоимость муниципальной услуги</t>
  </si>
  <si>
    <t>нормативные затраты на оплату труда с начислениями</t>
  </si>
  <si>
    <t>нормативные затраты на приобретение оборудования и расходных материалов</t>
  </si>
  <si>
    <t xml:space="preserve">общехозяйственные нормативные затраты </t>
  </si>
  <si>
    <t>1. Нормативные затраты на оплату труда</t>
  </si>
  <si>
    <t>ФОТ педагогического персонала</t>
  </si>
  <si>
    <t>ФОТ административно-управленческого персонала</t>
  </si>
  <si>
    <t>ФОТ вспомогательного персонала</t>
  </si>
  <si>
    <t>Материальная помощь</t>
  </si>
  <si>
    <t>213 эк.ст.</t>
  </si>
  <si>
    <t>Итого с мат.пом.</t>
  </si>
  <si>
    <t>из расчета Деп.обр.БО (211+м/л+213)</t>
  </si>
  <si>
    <t xml:space="preserve">2.Общехозяйственные нормативные затраты </t>
  </si>
  <si>
    <t>На приобретение оборудования и расходных материалов</t>
  </si>
  <si>
    <t>Общехозяйственные нужды</t>
  </si>
  <si>
    <t>221 Услуги связи</t>
  </si>
  <si>
    <t>225 Прочие расходы</t>
  </si>
  <si>
    <t>226 Прочие работы и услуги</t>
  </si>
  <si>
    <t>310 Оборудование ОБ</t>
  </si>
  <si>
    <t>310 Оборудование МБ</t>
  </si>
  <si>
    <t>340 Увеличение стоимости материальных запасов</t>
  </si>
  <si>
    <t>На коммунальные услуги</t>
  </si>
  <si>
    <t>Всего</t>
  </si>
  <si>
    <t>теплоэнергия</t>
  </si>
  <si>
    <t>электроэнергия</t>
  </si>
  <si>
    <t>водоснабжение</t>
  </si>
  <si>
    <t>На питание</t>
  </si>
  <si>
    <t>кол-во детей *247 дней*35 рублей*%</t>
  </si>
  <si>
    <t>140*247*35*77,7085%</t>
  </si>
  <si>
    <t>280*247*35*74,68%</t>
  </si>
  <si>
    <t>МБ</t>
  </si>
  <si>
    <t>1.1.</t>
  </si>
  <si>
    <t>2.2.</t>
  </si>
  <si>
    <t>За счет средств местного бюджета</t>
  </si>
  <si>
    <t>222 Транспортные услуги</t>
  </si>
  <si>
    <t>3.1.</t>
  </si>
  <si>
    <t>3.2.</t>
  </si>
  <si>
    <t>3.4.</t>
  </si>
  <si>
    <t>Коммунальные услуги</t>
  </si>
  <si>
    <t>Корректирующий коэффициент</t>
  </si>
  <si>
    <t>Нормативные затраты на оказание единици муниципальной услуги всего</t>
  </si>
  <si>
    <t>А</t>
  </si>
  <si>
    <t>Б</t>
  </si>
  <si>
    <t>290 Налоги</t>
  </si>
  <si>
    <t>Затраты на оказание единици муниципальной услуги всего</t>
  </si>
  <si>
    <t>Нормативные затраты на выполнение муниципального задания</t>
  </si>
  <si>
    <t>%</t>
  </si>
  <si>
    <t>КОСГУ 211 - заработная плата</t>
  </si>
  <si>
    <t>КОСГУ 213 - начисленияна заработную плату</t>
  </si>
  <si>
    <t>340 Материальные запасы</t>
  </si>
  <si>
    <t>212 Командировочные расходы</t>
  </si>
  <si>
    <t>Ззатраты на выполнение муниципального задания</t>
  </si>
  <si>
    <t xml:space="preserve">Затраты на оплату труда с начислениями </t>
  </si>
  <si>
    <t xml:space="preserve">Затраты на приобретение оборудования и расходных материалов </t>
  </si>
  <si>
    <t xml:space="preserve">Общехозяйственные затраты </t>
  </si>
  <si>
    <t>Количество потребителей услуги (посещения тыс.ед.)</t>
  </si>
  <si>
    <t>газ</t>
  </si>
  <si>
    <t xml:space="preserve">"Организация деятельности клубных формирований и формирований самодеятельного народного творчества" </t>
  </si>
  <si>
    <t>Средства бюджета поселения</t>
  </si>
  <si>
    <t>рублей</t>
  </si>
  <si>
    <t xml:space="preserve">Затраты на содержание недвижимого и особо ценного движимого имущества  бюджетного учреждения </t>
  </si>
  <si>
    <t>Нормативные затраты на содержание недвижимого и особо ценного движимого имущества  бюджетного учреждения</t>
  </si>
  <si>
    <t>Определение нормативных затрат на выполнение муниципального задания учреждениями культуры Гетуновского сельского поселения Погарского  района на 2019 год</t>
  </si>
  <si>
    <t>В соответствии с расчетами на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</si>
</sst>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00CC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2" fontId="6" fillId="2" borderId="1" xfId="0" applyNumberFormat="1" applyFont="1" applyFill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vertical="top" wrapText="1"/>
    </xf>
    <xf numFmtId="4" fontId="13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right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16" fontId="1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&#1052;&#1086;&#1103;%20&#1088;&#1072;&#1089;&#1096;&#1080;&#1088;&#1077;&#1085;&#1085;&#1072;&#1103;%20&#1089;%20&#1087;&#1088;&#1072;&#1074;&#1082;&#1072;&#1084;&#1080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,213 аппарат"/>
      <sheetName val="211,213 др."/>
      <sheetName val="212"/>
      <sheetName val="221"/>
      <sheetName val="222"/>
      <sheetName val="223"/>
      <sheetName val="224"/>
      <sheetName val="225"/>
      <sheetName val="руо 225"/>
      <sheetName val="226"/>
      <sheetName val="РУО 226"/>
      <sheetName val="241"/>
      <sheetName val="251"/>
      <sheetName val="260"/>
      <sheetName val="290(851)"/>
      <sheetName val="290(852,870)"/>
      <sheetName val="310"/>
      <sheetName val="340"/>
      <sheetName val="пит.ДДУ"/>
      <sheetName val="запчасти"/>
      <sheetName val="пит.шк."/>
      <sheetName val="Прогр."/>
      <sheetName val="От пос"/>
      <sheetName val="Новая сеть"/>
      <sheetName val="Свод"/>
      <sheetName val="По учр.с ОБ"/>
      <sheetName val="По учр."/>
      <sheetName val="Обл."/>
      <sheetName val="Расчет норм.затрат"/>
    </sheetNames>
    <sheetDataSet>
      <sheetData sheetId="0"/>
      <sheetData sheetId="1"/>
      <sheetData sheetId="2"/>
      <sheetData sheetId="3">
        <row r="8">
          <cell r="B8">
            <v>29286.239999999998</v>
          </cell>
        </row>
        <row r="63">
          <cell r="F63">
            <v>18906.36</v>
          </cell>
        </row>
      </sheetData>
      <sheetData sheetId="4"/>
      <sheetData sheetId="5">
        <row r="30">
          <cell r="E30">
            <v>480215.61500000005</v>
          </cell>
        </row>
        <row r="32">
          <cell r="E32">
            <v>212355</v>
          </cell>
        </row>
        <row r="33">
          <cell r="E33">
            <v>26207.764000000003</v>
          </cell>
        </row>
        <row r="34">
          <cell r="E34">
            <v>34523.723520000007</v>
          </cell>
        </row>
      </sheetData>
      <sheetData sheetId="6"/>
      <sheetData sheetId="7">
        <row r="101">
          <cell r="C101">
            <v>113024.66</v>
          </cell>
        </row>
      </sheetData>
      <sheetData sheetId="8"/>
      <sheetData sheetId="9">
        <row r="7">
          <cell r="C7">
            <v>233323.68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G10">
            <v>35000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30">
          <cell r="J130">
            <v>10861970</v>
          </cell>
        </row>
        <row r="139">
          <cell r="J139">
            <v>236985</v>
          </cell>
        </row>
      </sheetData>
      <sheetData sheetId="26">
        <row r="77">
          <cell r="B77">
            <v>2094062.8025199999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K78"/>
  <sheetViews>
    <sheetView tabSelected="1" topLeftCell="B1" workbookViewId="0">
      <selection activeCell="D15" sqref="D15"/>
    </sheetView>
  </sheetViews>
  <sheetFormatPr defaultRowHeight="15" x14ac:dyDescent="0.25"/>
  <cols>
    <col min="1" max="1" width="4" style="3" hidden="1" customWidth="1"/>
    <col min="2" max="2" width="4" style="34" customWidth="1"/>
    <col min="3" max="3" width="57.5703125" style="23" customWidth="1"/>
    <col min="4" max="4" width="9" style="44" customWidth="1"/>
    <col min="5" max="5" width="10.85546875" style="24" bestFit="1" customWidth="1"/>
    <col min="6" max="6" width="12.7109375" style="3" customWidth="1"/>
    <col min="7" max="7" width="10.42578125" style="3" customWidth="1"/>
    <col min="8" max="8" width="5" style="3" customWidth="1"/>
    <col min="9" max="9" width="11.42578125" style="3" bestFit="1" customWidth="1"/>
    <col min="10" max="16384" width="9.140625" style="3"/>
  </cols>
  <sheetData>
    <row r="1" spans="1:11" ht="51.75" customHeight="1" x14ac:dyDescent="0.25">
      <c r="B1" s="63" t="s">
        <v>71</v>
      </c>
      <c r="C1" s="63"/>
      <c r="D1" s="63"/>
      <c r="E1" s="63"/>
      <c r="I1" s="17"/>
    </row>
    <row r="2" spans="1:11" ht="29.25" customHeight="1" x14ac:dyDescent="0.25">
      <c r="B2" s="64" t="s">
        <v>66</v>
      </c>
      <c r="C2" s="65"/>
      <c r="D2" s="65"/>
      <c r="E2" s="65"/>
      <c r="I2" s="17"/>
    </row>
    <row r="3" spans="1:11" x14ac:dyDescent="0.25">
      <c r="C3" s="18"/>
      <c r="D3" s="38"/>
      <c r="E3" s="47" t="s">
        <v>68</v>
      </c>
      <c r="I3" s="17"/>
    </row>
    <row r="4" spans="1:11" ht="45" x14ac:dyDescent="0.25">
      <c r="A4" s="1"/>
      <c r="B4" s="32"/>
      <c r="C4" s="30"/>
      <c r="D4" s="39" t="s">
        <v>55</v>
      </c>
      <c r="E4" s="48" t="s">
        <v>67</v>
      </c>
      <c r="F4" s="17"/>
      <c r="K4" s="17"/>
    </row>
    <row r="5" spans="1:11" ht="30" x14ac:dyDescent="0.25">
      <c r="A5" s="1"/>
      <c r="B5" s="32"/>
      <c r="C5" s="54" t="s">
        <v>54</v>
      </c>
      <c r="D5" s="42">
        <f>D9+D25</f>
        <v>100</v>
      </c>
      <c r="E5" s="55">
        <f>E6/E7</f>
        <v>48.364086021505379</v>
      </c>
      <c r="F5" s="45"/>
      <c r="K5" s="17"/>
    </row>
    <row r="6" spans="1:11" x14ac:dyDescent="0.25">
      <c r="A6" s="1"/>
      <c r="B6" s="32"/>
      <c r="C6" s="54" t="s">
        <v>60</v>
      </c>
      <c r="D6" s="42"/>
      <c r="E6" s="55">
        <f>E10+E26</f>
        <v>449786</v>
      </c>
      <c r="F6" s="45"/>
      <c r="K6" s="17"/>
    </row>
    <row r="7" spans="1:11" s="29" customFormat="1" x14ac:dyDescent="0.25">
      <c r="A7" s="33"/>
      <c r="B7" s="56"/>
      <c r="C7" s="57" t="s">
        <v>64</v>
      </c>
      <c r="D7" s="39"/>
      <c r="E7" s="48">
        <v>9300</v>
      </c>
      <c r="F7" s="45"/>
      <c r="K7" s="28"/>
    </row>
    <row r="8" spans="1:11" s="29" customFormat="1" x14ac:dyDescent="0.25">
      <c r="A8" s="33"/>
      <c r="B8" s="56"/>
      <c r="C8" s="57" t="s">
        <v>48</v>
      </c>
      <c r="D8" s="39"/>
      <c r="E8" s="48">
        <v>1</v>
      </c>
      <c r="F8" s="45"/>
      <c r="K8" s="28"/>
    </row>
    <row r="9" spans="1:11" s="26" customFormat="1" ht="24" x14ac:dyDescent="0.25">
      <c r="A9" s="31"/>
      <c r="B9" s="58" t="s">
        <v>50</v>
      </c>
      <c r="C9" s="21" t="s">
        <v>49</v>
      </c>
      <c r="D9" s="42">
        <f>E9/E5*100</f>
        <v>76.10285780348876</v>
      </c>
      <c r="E9" s="55">
        <f>E10/E7</f>
        <v>36.806451612903224</v>
      </c>
      <c r="F9" s="46"/>
      <c r="K9" s="27"/>
    </row>
    <row r="10" spans="1:11" s="26" customFormat="1" x14ac:dyDescent="0.25">
      <c r="A10" s="31"/>
      <c r="B10" s="58"/>
      <c r="C10" s="21" t="s">
        <v>53</v>
      </c>
      <c r="D10" s="42"/>
      <c r="E10" s="55">
        <f>E12+E17+E21</f>
        <v>342300</v>
      </c>
      <c r="F10" s="46"/>
      <c r="K10" s="27"/>
    </row>
    <row r="11" spans="1:11" s="26" customFormat="1" x14ac:dyDescent="0.25">
      <c r="A11" s="31"/>
      <c r="B11" s="59" t="s">
        <v>0</v>
      </c>
      <c r="C11" s="21" t="s">
        <v>1</v>
      </c>
      <c r="D11" s="42">
        <f>E11/E5*100</f>
        <v>75.369175563490188</v>
      </c>
      <c r="E11" s="55">
        <f>E12/E7</f>
        <v>36.451612903225808</v>
      </c>
      <c r="F11" s="46"/>
      <c r="K11" s="27"/>
    </row>
    <row r="12" spans="1:11" s="26" customFormat="1" x14ac:dyDescent="0.25">
      <c r="A12" s="31"/>
      <c r="B12" s="59"/>
      <c r="C12" s="21" t="s">
        <v>61</v>
      </c>
      <c r="D12" s="60"/>
      <c r="E12" s="55">
        <f>E13</f>
        <v>339000</v>
      </c>
      <c r="F12" s="46"/>
      <c r="K12" s="27"/>
    </row>
    <row r="13" spans="1:11" x14ac:dyDescent="0.25">
      <c r="A13" s="1"/>
      <c r="B13" s="56" t="s">
        <v>40</v>
      </c>
      <c r="C13" s="20" t="s">
        <v>72</v>
      </c>
      <c r="D13" s="40"/>
      <c r="E13" s="61">
        <f>SUM(E14:E15)</f>
        <v>339000</v>
      </c>
      <c r="F13" s="45"/>
      <c r="K13" s="17"/>
    </row>
    <row r="14" spans="1:11" x14ac:dyDescent="0.25">
      <c r="A14" s="1"/>
      <c r="B14" s="56"/>
      <c r="C14" s="22" t="s">
        <v>56</v>
      </c>
      <c r="D14" s="40"/>
      <c r="E14" s="61">
        <v>260000</v>
      </c>
      <c r="F14" s="45"/>
      <c r="K14" s="17"/>
    </row>
    <row r="15" spans="1:11" x14ac:dyDescent="0.25">
      <c r="A15" s="1"/>
      <c r="B15" s="56"/>
      <c r="C15" s="22" t="s">
        <v>57</v>
      </c>
      <c r="D15" s="40"/>
      <c r="E15" s="61">
        <v>79000</v>
      </c>
      <c r="F15" s="45"/>
      <c r="K15" s="17"/>
    </row>
    <row r="16" spans="1:11" ht="24" x14ac:dyDescent="0.25">
      <c r="A16" s="1"/>
      <c r="B16" s="59" t="s">
        <v>2</v>
      </c>
      <c r="C16" s="21" t="s">
        <v>3</v>
      </c>
      <c r="D16" s="60">
        <f>E16/E5*100</f>
        <v>0.44465590302944069</v>
      </c>
      <c r="E16" s="55">
        <f>E17/E7</f>
        <v>0.21505376344086022</v>
      </c>
      <c r="F16" s="45"/>
      <c r="K16" s="17"/>
    </row>
    <row r="17" spans="1:11" s="26" customFormat="1" x14ac:dyDescent="0.25">
      <c r="A17" s="31"/>
      <c r="B17" s="59"/>
      <c r="C17" s="21" t="s">
        <v>62</v>
      </c>
      <c r="D17" s="43"/>
      <c r="E17" s="55">
        <f>E18</f>
        <v>2000</v>
      </c>
      <c r="F17" s="46"/>
      <c r="K17" s="27"/>
    </row>
    <row r="18" spans="1:11" x14ac:dyDescent="0.25">
      <c r="A18" s="1"/>
      <c r="B18" s="56" t="s">
        <v>41</v>
      </c>
      <c r="C18" s="22" t="s">
        <v>42</v>
      </c>
      <c r="D18" s="40"/>
      <c r="E18" s="61">
        <f>E19</f>
        <v>2000</v>
      </c>
      <c r="F18" s="45"/>
      <c r="K18" s="17"/>
    </row>
    <row r="19" spans="1:11" x14ac:dyDescent="0.25">
      <c r="A19" s="1"/>
      <c r="B19" s="56"/>
      <c r="C19" s="22" t="s">
        <v>58</v>
      </c>
      <c r="D19" s="40"/>
      <c r="E19" s="61">
        <v>2000</v>
      </c>
      <c r="F19" s="45"/>
      <c r="K19" s="17"/>
    </row>
    <row r="20" spans="1:11" x14ac:dyDescent="0.25">
      <c r="A20" s="1"/>
      <c r="B20" s="59" t="s">
        <v>4</v>
      </c>
      <c r="C20" s="21" t="s">
        <v>5</v>
      </c>
      <c r="D20" s="60">
        <f>E20/E5*100</f>
        <v>0.28902633696913638</v>
      </c>
      <c r="E20" s="55">
        <f>E21/E7</f>
        <v>0.13978494623655913</v>
      </c>
      <c r="F20" s="45"/>
      <c r="K20" s="17"/>
    </row>
    <row r="21" spans="1:11" s="26" customFormat="1" x14ac:dyDescent="0.25">
      <c r="A21" s="31"/>
      <c r="B21" s="59"/>
      <c r="C21" s="21" t="s">
        <v>63</v>
      </c>
      <c r="D21" s="43"/>
      <c r="E21" s="55">
        <f>E22+E23+E24</f>
        <v>1300</v>
      </c>
      <c r="F21" s="46"/>
      <c r="K21" s="27"/>
    </row>
    <row r="22" spans="1:11" s="26" customFormat="1" x14ac:dyDescent="0.25">
      <c r="A22" s="31"/>
      <c r="B22" s="62" t="s">
        <v>44</v>
      </c>
      <c r="C22" s="22" t="s">
        <v>59</v>
      </c>
      <c r="D22" s="41"/>
      <c r="E22" s="61"/>
      <c r="F22" s="46"/>
      <c r="K22" s="27"/>
    </row>
    <row r="23" spans="1:11" s="26" customFormat="1" x14ac:dyDescent="0.25">
      <c r="A23" s="31"/>
      <c r="B23" s="56" t="s">
        <v>45</v>
      </c>
      <c r="C23" s="22" t="s">
        <v>43</v>
      </c>
      <c r="D23" s="41"/>
      <c r="E23" s="61"/>
      <c r="F23" s="46"/>
      <c r="K23" s="27"/>
    </row>
    <row r="24" spans="1:11" s="26" customFormat="1" x14ac:dyDescent="0.25">
      <c r="A24" s="31"/>
      <c r="B24" s="56" t="s">
        <v>46</v>
      </c>
      <c r="C24" s="20" t="s">
        <v>24</v>
      </c>
      <c r="D24" s="41"/>
      <c r="E24" s="61">
        <v>1300</v>
      </c>
      <c r="F24" s="46"/>
      <c r="K24" s="27"/>
    </row>
    <row r="25" spans="1:11" s="26" customFormat="1" ht="24" x14ac:dyDescent="0.25">
      <c r="B25" s="58" t="s">
        <v>51</v>
      </c>
      <c r="C25" s="21" t="s">
        <v>70</v>
      </c>
      <c r="D25" s="43">
        <f>E25/E5*100</f>
        <v>23.897142196511233</v>
      </c>
      <c r="E25" s="55">
        <f>E26/E7</f>
        <v>11.557634408602151</v>
      </c>
      <c r="F25" s="46"/>
      <c r="K25" s="27"/>
    </row>
    <row r="26" spans="1:11" s="26" customFormat="1" ht="24" x14ac:dyDescent="0.25">
      <c r="B26" s="58"/>
      <c r="C26" s="21" t="s">
        <v>69</v>
      </c>
      <c r="D26" s="43"/>
      <c r="E26" s="55">
        <f>E27+E30+E31+E32</f>
        <v>107486</v>
      </c>
      <c r="F26" s="46"/>
      <c r="K26" s="27"/>
    </row>
    <row r="27" spans="1:11" s="26" customFormat="1" x14ac:dyDescent="0.25">
      <c r="A27" s="31"/>
      <c r="B27" s="56">
        <v>1</v>
      </c>
      <c r="C27" s="20" t="s">
        <v>47</v>
      </c>
      <c r="D27" s="41"/>
      <c r="E27" s="61">
        <f>E28+E29</f>
        <v>35178</v>
      </c>
      <c r="F27" s="46"/>
      <c r="K27" s="27"/>
    </row>
    <row r="28" spans="1:11" s="26" customFormat="1" x14ac:dyDescent="0.25">
      <c r="A28" s="31"/>
      <c r="B28" s="56"/>
      <c r="C28" s="20" t="s">
        <v>65</v>
      </c>
      <c r="D28" s="41"/>
      <c r="E28" s="61">
        <v>26322</v>
      </c>
      <c r="F28" s="46"/>
      <c r="K28" s="27"/>
    </row>
    <row r="29" spans="1:11" s="26" customFormat="1" x14ac:dyDescent="0.25">
      <c r="A29" s="31"/>
      <c r="B29" s="56"/>
      <c r="C29" s="20" t="s">
        <v>33</v>
      </c>
      <c r="D29" s="41"/>
      <c r="E29" s="61">
        <v>8856</v>
      </c>
      <c r="F29" s="46"/>
      <c r="K29" s="27"/>
    </row>
    <row r="30" spans="1:11" s="26" customFormat="1" x14ac:dyDescent="0.25">
      <c r="A30" s="31"/>
      <c r="B30" s="56">
        <v>2</v>
      </c>
      <c r="C30" s="20" t="s">
        <v>25</v>
      </c>
      <c r="D30" s="41"/>
      <c r="E30" s="61">
        <v>7000</v>
      </c>
      <c r="F30" s="46"/>
      <c r="K30" s="27"/>
    </row>
    <row r="31" spans="1:11" s="26" customFormat="1" x14ac:dyDescent="0.25">
      <c r="A31" s="31"/>
      <c r="B31" s="56">
        <v>3</v>
      </c>
      <c r="C31" s="20" t="s">
        <v>26</v>
      </c>
      <c r="D31" s="41"/>
      <c r="E31" s="61">
        <v>23786</v>
      </c>
      <c r="F31" s="46"/>
      <c r="K31" s="27"/>
    </row>
    <row r="32" spans="1:11" x14ac:dyDescent="0.25">
      <c r="B32" s="56">
        <v>4</v>
      </c>
      <c r="C32" s="57" t="s">
        <v>52</v>
      </c>
      <c r="D32" s="39"/>
      <c r="E32" s="61">
        <v>41522</v>
      </c>
      <c r="F32" s="45"/>
      <c r="K32" s="17"/>
    </row>
    <row r="33" spans="1:11" x14ac:dyDescent="0.25">
      <c r="C33" s="37"/>
      <c r="D33" s="38"/>
      <c r="I33" s="17"/>
    </row>
    <row r="34" spans="1:11" x14ac:dyDescent="0.25">
      <c r="C34" s="37"/>
      <c r="D34" s="38"/>
      <c r="I34" s="17"/>
    </row>
    <row r="35" spans="1:11" hidden="1" x14ac:dyDescent="0.25">
      <c r="A35" s="25" t="e">
        <f>B35+#REF!+H35</f>
        <v>#REF!</v>
      </c>
      <c r="B35" s="36">
        <v>138</v>
      </c>
      <c r="C35" s="20" t="s">
        <v>6</v>
      </c>
      <c r="D35" s="41"/>
      <c r="E35" s="49" t="s">
        <v>7</v>
      </c>
      <c r="F35" s="2" t="e">
        <f>#REF!-#REF!</f>
        <v>#REF!</v>
      </c>
      <c r="G35" s="1"/>
      <c r="H35" s="1">
        <v>155</v>
      </c>
      <c r="I35" s="1" t="s">
        <v>8</v>
      </c>
      <c r="J35" s="1"/>
      <c r="K35" s="1"/>
    </row>
    <row r="36" spans="1:11" hidden="1" x14ac:dyDescent="0.25">
      <c r="B36" s="66" t="s">
        <v>9</v>
      </c>
      <c r="C36" s="66"/>
      <c r="D36" s="42"/>
      <c r="E36" s="4">
        <f>E41+E50</f>
        <v>53172.266684927534</v>
      </c>
      <c r="F36" s="5" t="e">
        <f>#REF!/#REF!</f>
        <v>#REF!</v>
      </c>
      <c r="G36" s="2" t="e">
        <f>#REF!-#REF!</f>
        <v>#REF!</v>
      </c>
      <c r="H36" s="1"/>
      <c r="I36" s="4">
        <f>I41+I50</f>
        <v>58402.193290322582</v>
      </c>
      <c r="J36" s="1"/>
      <c r="K36" s="1"/>
    </row>
    <row r="37" spans="1:11" hidden="1" x14ac:dyDescent="0.25">
      <c r="B37" s="32"/>
      <c r="C37" s="20" t="s">
        <v>10</v>
      </c>
      <c r="D37" s="41"/>
      <c r="E37" s="5">
        <f>E41</f>
        <v>36758.8768115942</v>
      </c>
      <c r="F37" s="1" t="e">
        <f>#REF!/#REF!</f>
        <v>#REF!</v>
      </c>
      <c r="G37" s="1"/>
      <c r="H37" s="1"/>
      <c r="I37" s="5">
        <f>I41</f>
        <v>35768.129032258068</v>
      </c>
      <c r="J37" s="1"/>
      <c r="K37" s="1"/>
    </row>
    <row r="38" spans="1:11" ht="24" hidden="1" x14ac:dyDescent="0.25">
      <c r="B38" s="32"/>
      <c r="C38" s="20" t="s">
        <v>11</v>
      </c>
      <c r="D38" s="41"/>
      <c r="E38" s="5"/>
      <c r="F38" s="5"/>
      <c r="G38" s="5"/>
      <c r="H38" s="5"/>
      <c r="I38" s="5">
        <f t="shared" ref="I38" si="0">I51</f>
        <v>15351.980645161289</v>
      </c>
      <c r="J38" s="1"/>
      <c r="K38" s="1"/>
    </row>
    <row r="39" spans="1:11" ht="23.25" hidden="1" customHeight="1" x14ac:dyDescent="0.25">
      <c r="B39" s="32"/>
      <c r="C39" s="20" t="s">
        <v>12</v>
      </c>
      <c r="D39" s="41"/>
      <c r="E39" s="5">
        <f>E50</f>
        <v>16413.389873333334</v>
      </c>
      <c r="F39" s="1"/>
      <c r="G39" s="1"/>
      <c r="H39" s="1"/>
      <c r="I39" s="5">
        <f>I50</f>
        <v>22634.064258064514</v>
      </c>
      <c r="J39" s="1"/>
      <c r="K39" s="1"/>
    </row>
    <row r="40" spans="1:11" hidden="1" x14ac:dyDescent="0.25">
      <c r="B40" s="32"/>
      <c r="C40" s="20"/>
      <c r="D40" s="41"/>
      <c r="E40" s="5"/>
      <c r="F40" s="1"/>
      <c r="G40" s="1"/>
      <c r="H40" s="1"/>
      <c r="I40" s="1"/>
      <c r="J40" s="1"/>
      <c r="K40" s="1"/>
    </row>
    <row r="41" spans="1:11" hidden="1" x14ac:dyDescent="0.25">
      <c r="B41" s="66" t="s">
        <v>13</v>
      </c>
      <c r="C41" s="66"/>
      <c r="D41" s="42"/>
      <c r="E41" s="4">
        <f>E48/B35</f>
        <v>36758.8768115942</v>
      </c>
      <c r="F41" s="6"/>
      <c r="G41" s="1"/>
      <c r="H41" s="1"/>
      <c r="I41" s="4">
        <f>I48/H35</f>
        <v>35768.129032258068</v>
      </c>
      <c r="J41" s="1"/>
      <c r="K41" s="1"/>
    </row>
    <row r="42" spans="1:11" hidden="1" x14ac:dyDescent="0.25">
      <c r="B42" s="32"/>
      <c r="C42" s="20" t="s">
        <v>14</v>
      </c>
      <c r="D42" s="41"/>
      <c r="E42" s="5" t="e">
        <f>#REF!*12</f>
        <v>#REF!</v>
      </c>
      <c r="F42" s="1"/>
      <c r="G42" s="1"/>
      <c r="H42" s="1"/>
      <c r="I42" s="1"/>
      <c r="J42" s="1"/>
      <c r="K42" s="1"/>
    </row>
    <row r="43" spans="1:11" hidden="1" x14ac:dyDescent="0.25">
      <c r="B43" s="32"/>
      <c r="C43" s="20" t="s">
        <v>15</v>
      </c>
      <c r="D43" s="41"/>
      <c r="E43" s="5" t="e">
        <f>#REF!*12</f>
        <v>#REF!</v>
      </c>
      <c r="F43" s="1"/>
      <c r="G43" s="1"/>
      <c r="H43" s="1"/>
      <c r="I43" s="1"/>
      <c r="J43" s="1"/>
      <c r="K43" s="1"/>
    </row>
    <row r="44" spans="1:11" hidden="1" x14ac:dyDescent="0.25">
      <c r="B44" s="32"/>
      <c r="C44" s="20" t="s">
        <v>16</v>
      </c>
      <c r="D44" s="41"/>
      <c r="E44" s="5" t="e">
        <f>#REF!*12</f>
        <v>#REF!</v>
      </c>
      <c r="F44" s="1"/>
      <c r="G44" s="1"/>
      <c r="H44" s="1"/>
      <c r="I44" s="1"/>
      <c r="J44" s="1"/>
      <c r="K44" s="1"/>
    </row>
    <row r="45" spans="1:11" hidden="1" x14ac:dyDescent="0.25">
      <c r="B45" s="32"/>
      <c r="C45" s="20" t="s">
        <v>17</v>
      </c>
      <c r="D45" s="41"/>
      <c r="E45" s="5">
        <v>66000</v>
      </c>
      <c r="F45" s="1"/>
      <c r="G45" s="1"/>
      <c r="H45" s="1"/>
      <c r="I45" s="1"/>
      <c r="J45" s="1"/>
      <c r="K45" s="1"/>
    </row>
    <row r="46" spans="1:11" hidden="1" x14ac:dyDescent="0.25">
      <c r="B46" s="32"/>
      <c r="C46" s="20" t="s">
        <v>18</v>
      </c>
      <c r="D46" s="41"/>
      <c r="E46" s="5" t="e">
        <f>(E42+E43+E44)*0.302</f>
        <v>#REF!</v>
      </c>
      <c r="F46" s="1"/>
      <c r="G46" s="1"/>
      <c r="H46" s="1"/>
      <c r="I46" s="1"/>
      <c r="J46" s="1"/>
      <c r="K46" s="1"/>
    </row>
    <row r="47" spans="1:11" hidden="1" x14ac:dyDescent="0.25">
      <c r="B47" s="32"/>
      <c r="C47" s="20" t="s">
        <v>19</v>
      </c>
      <c r="D47" s="41"/>
      <c r="E47" s="50" t="e">
        <f>E42+E43+E44+E45+E46</f>
        <v>#REF!</v>
      </c>
      <c r="F47" s="5"/>
      <c r="G47" s="1"/>
      <c r="H47" s="1"/>
      <c r="I47" s="7"/>
      <c r="J47" s="1"/>
      <c r="K47" s="1"/>
    </row>
    <row r="48" spans="1:11" hidden="1" x14ac:dyDescent="0.25">
      <c r="B48" s="32"/>
      <c r="C48" s="20" t="s">
        <v>20</v>
      </c>
      <c r="D48" s="41"/>
      <c r="E48" s="51">
        <f>4981525+66000+25200</f>
        <v>5072725</v>
      </c>
      <c r="F48" s="1"/>
      <c r="G48" s="1"/>
      <c r="H48" s="1"/>
      <c r="I48" s="8">
        <f>5515260+28800</f>
        <v>5544060</v>
      </c>
      <c r="J48" s="1"/>
      <c r="K48" s="1"/>
    </row>
    <row r="49" spans="2:11" ht="4.5" hidden="1" customHeight="1" x14ac:dyDescent="0.25">
      <c r="B49" s="32"/>
      <c r="C49" s="20"/>
      <c r="D49" s="41"/>
      <c r="E49" s="5"/>
      <c r="F49" s="1"/>
      <c r="G49" s="1"/>
      <c r="H49" s="1"/>
      <c r="I49" s="1"/>
      <c r="J49" s="1"/>
      <c r="K49" s="1"/>
    </row>
    <row r="50" spans="2:11" hidden="1" x14ac:dyDescent="0.25">
      <c r="B50" s="66" t="s">
        <v>21</v>
      </c>
      <c r="C50" s="66"/>
      <c r="D50" s="42"/>
      <c r="E50" s="4">
        <f>E51+E63+E69</f>
        <v>16413.389873333334</v>
      </c>
      <c r="F50" s="1"/>
      <c r="G50" s="1"/>
      <c r="H50" s="1"/>
      <c r="I50" s="4">
        <f>I51+I63+I69</f>
        <v>22634.064258064514</v>
      </c>
      <c r="J50" s="1"/>
      <c r="K50" s="1"/>
    </row>
    <row r="51" spans="2:11" hidden="1" x14ac:dyDescent="0.25">
      <c r="B51" s="32"/>
      <c r="C51" s="21" t="s">
        <v>22</v>
      </c>
      <c r="D51" s="43"/>
      <c r="E51" s="9">
        <f>E52/B35</f>
        <v>5166.2876811594197</v>
      </c>
      <c r="F51" s="1"/>
      <c r="G51" s="1"/>
      <c r="H51" s="1"/>
      <c r="I51" s="9">
        <f>I52/H35</f>
        <v>15351.980645161289</v>
      </c>
      <c r="J51" s="1"/>
      <c r="K51" s="1"/>
    </row>
    <row r="52" spans="2:11" hidden="1" x14ac:dyDescent="0.25">
      <c r="B52" s="35"/>
      <c r="C52" s="20" t="s">
        <v>23</v>
      </c>
      <c r="D52" s="41"/>
      <c r="E52" s="11">
        <f>SUM(E53:E61)</f>
        <v>712947.7</v>
      </c>
      <c r="F52" s="1"/>
      <c r="G52" s="1"/>
      <c r="H52" s="1"/>
      <c r="I52" s="11">
        <f>SUM(I53:I61)</f>
        <v>2379557</v>
      </c>
      <c r="J52" s="1"/>
      <c r="K52" s="1"/>
    </row>
    <row r="53" spans="2:11" hidden="1" x14ac:dyDescent="0.25">
      <c r="B53" s="35"/>
      <c r="C53" s="22">
        <v>212</v>
      </c>
      <c r="D53" s="41"/>
      <c r="E53" s="11">
        <v>1000</v>
      </c>
      <c r="F53" s="1"/>
      <c r="G53" s="1"/>
      <c r="H53" s="1"/>
      <c r="I53" s="11">
        <v>7200</v>
      </c>
      <c r="J53" s="1"/>
      <c r="K53" s="1"/>
    </row>
    <row r="54" spans="2:11" hidden="1" x14ac:dyDescent="0.25">
      <c r="B54" s="35"/>
      <c r="C54" s="22">
        <v>222</v>
      </c>
      <c r="D54" s="41"/>
      <c r="E54" s="11"/>
      <c r="F54" s="1"/>
      <c r="G54" s="1"/>
      <c r="H54" s="1"/>
      <c r="I54" s="11">
        <v>13680</v>
      </c>
      <c r="J54" s="1"/>
      <c r="K54" s="1"/>
    </row>
    <row r="55" spans="2:11" hidden="1" x14ac:dyDescent="0.25">
      <c r="B55" s="32"/>
      <c r="C55" s="20" t="s">
        <v>24</v>
      </c>
      <c r="D55" s="41"/>
      <c r="E55" s="11">
        <f>'[1]221'!F63</f>
        <v>18906.36</v>
      </c>
      <c r="F55" s="1"/>
      <c r="G55" s="1"/>
      <c r="H55" s="1"/>
      <c r="I55" s="12">
        <v>12660</v>
      </c>
      <c r="J55" s="1"/>
      <c r="K55" s="1"/>
    </row>
    <row r="56" spans="2:11" hidden="1" x14ac:dyDescent="0.25">
      <c r="B56" s="32"/>
      <c r="C56" s="20" t="s">
        <v>25</v>
      </c>
      <c r="D56" s="41"/>
      <c r="E56" s="11">
        <f>'[1]225'!C101</f>
        <v>113024.66</v>
      </c>
      <c r="F56" s="1"/>
      <c r="G56" s="1"/>
      <c r="H56" s="1"/>
      <c r="I56" s="11">
        <v>195512</v>
      </c>
      <c r="J56" s="1"/>
      <c r="K56" s="1"/>
    </row>
    <row r="57" spans="2:11" hidden="1" x14ac:dyDescent="0.25">
      <c r="B57" s="32"/>
      <c r="C57" s="20" t="s">
        <v>26</v>
      </c>
      <c r="D57" s="41"/>
      <c r="E57" s="11">
        <f>'[1]226'!C7</f>
        <v>233323.68</v>
      </c>
      <c r="F57" s="1"/>
      <c r="G57" s="1"/>
      <c r="H57" s="1"/>
      <c r="I57" s="10">
        <v>246654</v>
      </c>
      <c r="J57" s="1"/>
      <c r="K57" s="1"/>
    </row>
    <row r="58" spans="2:11" hidden="1" x14ac:dyDescent="0.25">
      <c r="B58" s="32"/>
      <c r="C58" s="22">
        <v>290</v>
      </c>
      <c r="D58" s="41"/>
      <c r="E58" s="11">
        <f>47708+27000</f>
        <v>74708</v>
      </c>
      <c r="F58" s="1"/>
      <c r="G58" s="1"/>
      <c r="H58" s="1"/>
      <c r="I58" s="10">
        <v>1026586</v>
      </c>
      <c r="J58" s="1"/>
      <c r="K58" s="1"/>
    </row>
    <row r="59" spans="2:11" hidden="1" x14ac:dyDescent="0.25">
      <c r="B59" s="32"/>
      <c r="C59" s="20" t="s">
        <v>27</v>
      </c>
      <c r="D59" s="41"/>
      <c r="E59" s="52">
        <f>'[1]По учр.с ОБ'!J139</f>
        <v>236985</v>
      </c>
      <c r="F59" s="1"/>
      <c r="G59" s="1"/>
      <c r="H59" s="1"/>
      <c r="I59" s="13">
        <f>290276-28800</f>
        <v>261476</v>
      </c>
      <c r="J59" s="1"/>
      <c r="K59" s="1"/>
    </row>
    <row r="60" spans="2:11" hidden="1" x14ac:dyDescent="0.25">
      <c r="B60" s="32"/>
      <c r="C60" s="20" t="s">
        <v>28</v>
      </c>
      <c r="D60" s="41"/>
      <c r="E60" s="52"/>
      <c r="F60" s="1"/>
      <c r="G60" s="1"/>
      <c r="H60" s="1"/>
      <c r="I60" s="19">
        <v>371279</v>
      </c>
      <c r="J60" s="1"/>
      <c r="K60" s="1"/>
    </row>
    <row r="61" spans="2:11" ht="17.25" hidden="1" customHeight="1" x14ac:dyDescent="0.25">
      <c r="B61" s="32"/>
      <c r="C61" s="20" t="s">
        <v>29</v>
      </c>
      <c r="D61" s="41"/>
      <c r="E61" s="11">
        <f>'[1]340'!G10</f>
        <v>35000</v>
      </c>
      <c r="F61" s="1"/>
      <c r="G61" s="1"/>
      <c r="H61" s="1"/>
      <c r="I61" s="12">
        <f>813050-I70</f>
        <v>244510</v>
      </c>
      <c r="J61" s="1"/>
      <c r="K61" s="1"/>
    </row>
    <row r="62" spans="2:11" ht="6" hidden="1" customHeight="1" x14ac:dyDescent="0.25">
      <c r="B62" s="32"/>
      <c r="C62" s="20"/>
      <c r="D62" s="41"/>
      <c r="E62" s="11"/>
      <c r="F62" s="1"/>
      <c r="G62" s="1"/>
      <c r="H62" s="1"/>
      <c r="I62" s="10"/>
      <c r="J62" s="1"/>
      <c r="K62" s="1"/>
    </row>
    <row r="63" spans="2:11" s="15" customFormat="1" hidden="1" x14ac:dyDescent="0.25">
      <c r="B63" s="35"/>
      <c r="C63" s="21" t="s">
        <v>30</v>
      </c>
      <c r="D63" s="43"/>
      <c r="E63" s="9">
        <f>E64/B35</f>
        <v>5458.7108878260869</v>
      </c>
      <c r="F63" s="7"/>
      <c r="G63" s="7"/>
      <c r="H63" s="7"/>
      <c r="I63" s="14">
        <f>I64/H35</f>
        <v>3614.0836129032255</v>
      </c>
      <c r="J63" s="7"/>
      <c r="K63" s="7"/>
    </row>
    <row r="64" spans="2:11" s="15" customFormat="1" hidden="1" x14ac:dyDescent="0.25">
      <c r="B64" s="35"/>
      <c r="C64" s="21" t="s">
        <v>31</v>
      </c>
      <c r="D64" s="43"/>
      <c r="E64" s="9">
        <f>E65+E66+E67</f>
        <v>753302.10251999996</v>
      </c>
      <c r="F64" s="7"/>
      <c r="G64" s="7"/>
      <c r="H64" s="7"/>
      <c r="I64" s="14">
        <f>I65+I66+I67</f>
        <v>560182.96</v>
      </c>
      <c r="J64" s="7"/>
      <c r="K64" s="7"/>
    </row>
    <row r="65" spans="2:11" hidden="1" x14ac:dyDescent="0.25">
      <c r="B65" s="32"/>
      <c r="C65" s="20" t="s">
        <v>32</v>
      </c>
      <c r="D65" s="41"/>
      <c r="E65" s="11">
        <f>'[1]223'!E30</f>
        <v>480215.61500000005</v>
      </c>
      <c r="F65" s="1"/>
      <c r="G65" s="1"/>
      <c r="H65" s="1"/>
      <c r="I65" s="11">
        <v>225239.76</v>
      </c>
      <c r="J65" s="1"/>
      <c r="K65" s="1"/>
    </row>
    <row r="66" spans="2:11" hidden="1" x14ac:dyDescent="0.25">
      <c r="B66" s="32"/>
      <c r="C66" s="20" t="s">
        <v>33</v>
      </c>
      <c r="D66" s="41"/>
      <c r="E66" s="11">
        <f>'[1]223'!E32</f>
        <v>212355</v>
      </c>
      <c r="F66" s="1"/>
      <c r="G66" s="1"/>
      <c r="H66" s="1"/>
      <c r="I66" s="11">
        <v>284610</v>
      </c>
      <c r="J66" s="1"/>
      <c r="K66" s="1"/>
    </row>
    <row r="67" spans="2:11" hidden="1" x14ac:dyDescent="0.25">
      <c r="B67" s="32"/>
      <c r="C67" s="20" t="s">
        <v>34</v>
      </c>
      <c r="D67" s="41"/>
      <c r="E67" s="11">
        <f>'[1]223'!E33+'[1]223'!E34</f>
        <v>60731.48752000001</v>
      </c>
      <c r="F67" s="1"/>
      <c r="G67" s="1"/>
      <c r="H67" s="1"/>
      <c r="I67" s="11">
        <f>19890.4+30442.8</f>
        <v>50333.2</v>
      </c>
      <c r="J67" s="1"/>
      <c r="K67" s="1"/>
    </row>
    <row r="68" spans="2:11" ht="4.5" hidden="1" customHeight="1" x14ac:dyDescent="0.25">
      <c r="B68" s="32"/>
      <c r="C68" s="20"/>
      <c r="D68" s="41"/>
      <c r="E68" s="11"/>
      <c r="F68" s="1"/>
      <c r="G68" s="1"/>
      <c r="H68" s="1"/>
      <c r="I68" s="10"/>
      <c r="J68" s="1"/>
      <c r="K68" s="1"/>
    </row>
    <row r="69" spans="2:11" s="15" customFormat="1" hidden="1" x14ac:dyDescent="0.25">
      <c r="B69" s="35"/>
      <c r="C69" s="21" t="s">
        <v>35</v>
      </c>
      <c r="D69" s="43"/>
      <c r="E69" s="9">
        <f>E70/B35</f>
        <v>5788.391304347826</v>
      </c>
      <c r="F69" s="7"/>
      <c r="G69" s="7"/>
      <c r="H69" s="7"/>
      <c r="I69" s="14">
        <f>I70/H35</f>
        <v>3668</v>
      </c>
      <c r="J69" s="7"/>
      <c r="K69" s="7"/>
    </row>
    <row r="70" spans="2:11" hidden="1" x14ac:dyDescent="0.25">
      <c r="B70" s="32"/>
      <c r="C70" s="20" t="s">
        <v>36</v>
      </c>
      <c r="D70" s="41"/>
      <c r="E70" s="11">
        <f>140*247*35*66/100</f>
        <v>798798</v>
      </c>
      <c r="F70" s="1"/>
      <c r="G70" s="1"/>
      <c r="H70" s="1"/>
      <c r="I70" s="16">
        <f>155*131*35*80/100</f>
        <v>568540</v>
      </c>
      <c r="J70" s="1"/>
      <c r="K70" s="1"/>
    </row>
    <row r="71" spans="2:11" hidden="1" x14ac:dyDescent="0.25">
      <c r="C71" s="23" t="s">
        <v>37</v>
      </c>
      <c r="E71" s="53">
        <f>(140*247*35*77.7085)/100</f>
        <v>940505.97549999994</v>
      </c>
      <c r="F71" s="17"/>
    </row>
    <row r="72" spans="2:11" hidden="1" x14ac:dyDescent="0.25">
      <c r="C72" s="23" t="s">
        <v>38</v>
      </c>
      <c r="E72" s="53"/>
    </row>
    <row r="73" spans="2:11" hidden="1" x14ac:dyDescent="0.25">
      <c r="C73" s="23" t="s">
        <v>39</v>
      </c>
      <c r="E73" s="24">
        <f>66000+E53+E55+E56+E57+E58+E60+E61+E64+E70</f>
        <v>2094062.8025199999</v>
      </c>
      <c r="I73" s="24">
        <f>I53+I54+I55+I56+I57+I58+I60+I61+I64+I70</f>
        <v>3246803.96</v>
      </c>
    </row>
    <row r="74" spans="2:11" hidden="1" x14ac:dyDescent="0.25"/>
    <row r="75" spans="2:11" hidden="1" x14ac:dyDescent="0.25"/>
    <row r="76" spans="2:11" hidden="1" x14ac:dyDescent="0.25"/>
    <row r="77" spans="2:11" hidden="1" x14ac:dyDescent="0.25"/>
    <row r="78" spans="2:11" hidden="1" x14ac:dyDescent="0.25"/>
  </sheetData>
  <mergeCells count="5">
    <mergeCell ref="B1:E1"/>
    <mergeCell ref="B2:E2"/>
    <mergeCell ref="B36:C36"/>
    <mergeCell ref="B41:C41"/>
    <mergeCell ref="B50:C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Культура 2019</vt:lpstr>
      <vt:lpstr>Лист3 (2)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2019-01-17T13:11:13Z</dcterms:modified>
</cp:coreProperties>
</file>